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7115" windowHeight="4620" tabRatio="663" activeTab="1"/>
  </bookViews>
  <sheets>
    <sheet name="Parameter" sheetId="1" r:id="rId1"/>
    <sheet name="Deckblatt" sheetId="2" r:id="rId2"/>
    <sheet name="Quittung" sheetId="3" r:id="rId3"/>
    <sheet name="Dokumentation" sheetId="4" r:id="rId4"/>
  </sheets>
  <definedNames>
    <definedName name="Entf">'Parameter'!$B$10</definedName>
    <definedName name="Essen">'Parameter'!$A$5</definedName>
    <definedName name="Essen_ab">'Parameter'!$B$6</definedName>
    <definedName name="EUR_pro_km">'Parameter'!$B$7</definedName>
    <definedName name="Fahrtgeld">'Parameter'!$A$7</definedName>
    <definedName name="Grund">'Parameter'!$B$2</definedName>
    <definedName name="km_a">'Deckblatt'!$G$11</definedName>
    <definedName name="km_b">'Deckblatt'!$G$12</definedName>
    <definedName name="km_c">'Deckblatt'!$G$13</definedName>
    <definedName name="km_d">'Deckblatt'!$G$14</definedName>
    <definedName name="km_e">'Deckblatt'!$G$15</definedName>
    <definedName name="km_f">'Deckblatt'!$G$16</definedName>
    <definedName name="km_g">'Deckblatt'!$G$17</definedName>
    <definedName name="km_h">'Deckblatt'!$G$18</definedName>
    <definedName name="km_i">'Deckblatt'!$G$19</definedName>
    <definedName name="km_max">'Parameter'!$B$8</definedName>
    <definedName name="Min_Essen">'Parameter'!$D$6</definedName>
    <definedName name="Min_Zusatz">'Parameter'!$D$3</definedName>
    <definedName name="_xlnm.Print_Area" localSheetId="3">'Dokumentation'!$A:$A</definedName>
    <definedName name="_xlnm.Print_Area" localSheetId="2">'Quittung'!$A$5:$I$58</definedName>
    <definedName name="std_kost">'Parameter'!$B$11</definedName>
    <definedName name="Std_Zusatz">'Parameter'!$B$3</definedName>
    <definedName name="Veranst">'Deckblatt'!#REF!</definedName>
    <definedName name="Veranst_Name">'Deckblatt'!$C$2</definedName>
    <definedName name="Verein">'Parameter'!$B$1</definedName>
    <definedName name="Verpflegung">'Parameter'!$B$5</definedName>
    <definedName name="WR_Liste">'Deckblatt'!$B$11:$B$19</definedName>
    <definedName name="WR_Tab1">'Deckblatt'!$B$11:$H$19</definedName>
    <definedName name="WR_Tab2">'Deckblatt'!$A$24:$I$32</definedName>
    <definedName name="Zeit">'Parameter'!$B$9</definedName>
    <definedName name="Zusatz">'Parameter'!$B$4</definedName>
  </definedNames>
  <calcPr fullCalcOnLoad="1"/>
</workbook>
</file>

<file path=xl/comments2.xml><?xml version="1.0" encoding="utf-8"?>
<comments xmlns="http://schemas.openxmlformats.org/spreadsheetml/2006/main">
  <authors>
    <author>Thomas Liesem</author>
  </authors>
  <commentList>
    <comment ref="C2" authorId="0">
      <text>
        <r>
          <rPr>
            <sz val="8"/>
            <rFont val="Tahoma"/>
            <family val="2"/>
          </rPr>
          <t>Alle Eingabefelder sind umrandet!</t>
        </r>
      </text>
    </comment>
    <comment ref="E22" authorId="0">
      <text>
        <r>
          <rPr>
            <sz val="8"/>
            <rFont val="Tahoma"/>
            <family val="2"/>
          </rPr>
          <t>Berechnet wird die angebrochene Stunde!</t>
        </r>
      </text>
    </comment>
  </commentList>
</comments>
</file>

<file path=xl/sharedStrings.xml><?xml version="1.0" encoding="utf-8"?>
<sst xmlns="http://schemas.openxmlformats.org/spreadsheetml/2006/main" count="136" uniqueCount="88">
  <si>
    <r>
      <t>EUR pro km:</t>
    </r>
    <r>
      <rPr>
        <sz val="10"/>
        <rFont val="Arial"/>
        <family val="0"/>
      </rPr>
      <t xml:space="preserve">
Auf Basis dieser Angabe wird das jeweilige Kilometergeld errechnet.
</t>
    </r>
    <r>
      <rPr>
        <b/>
        <sz val="10"/>
        <rFont val="Arial"/>
        <family val="2"/>
      </rPr>
      <t>km-Höchstentgelt:</t>
    </r>
    <r>
      <rPr>
        <sz val="10"/>
        <rFont val="Arial"/>
        <family val="0"/>
      </rPr>
      <t xml:space="preserve">
Dieser Wert definiert den Maximalbetrag, der einem Wertungsrichter als Kilometergeld vergütet wird.
</t>
    </r>
    <r>
      <rPr>
        <b/>
        <sz val="10"/>
        <rFont val="Arial"/>
        <family val="2"/>
      </rPr>
      <t>Std_Konst:</t>
    </r>
    <r>
      <rPr>
        <sz val="10"/>
        <rFont val="Arial"/>
        <family val="0"/>
      </rPr>
      <t xml:space="preserve">
Diese Zelle beinhaltet eine Konstante zur berechnung der korrekten Vergütungssätze.
</t>
    </r>
    <r>
      <rPr>
        <b/>
        <sz val="10"/>
        <rFont val="Arial"/>
        <family val="2"/>
      </rPr>
      <t>Übernachtung ab und km</t>
    </r>
    <r>
      <rPr>
        <sz val="10"/>
        <rFont val="Arial"/>
        <family val="0"/>
      </rPr>
      <t xml:space="preserve">
Das Ende einer Veranstaltung und die einfache Entfernung zum Veranstaltungsort definieren die Pflicht des Veranstalters, dem Wertungsrichter eine Übernachtung anzubieten. Hierzu wird die Uhrzeit ab und eine festgelegt Entfernung zum Turnierort angeben. Die Werte hierzu sind vom HTV festgelegt.
</t>
    </r>
  </si>
  <si>
    <r>
      <t xml:space="preserve">In diesem Arbeitsblatt findet die eigentliche Berechnung der Vergütungen statt. Folgende Eingaben sind notwendig:
</t>
    </r>
    <r>
      <rPr>
        <b/>
        <sz val="10"/>
        <rFont val="Arial"/>
        <family val="2"/>
      </rPr>
      <t>Name der Veranstaltung (B2):</t>
    </r>
    <r>
      <rPr>
        <sz val="10"/>
        <rFont val="Arial"/>
        <family val="0"/>
      </rPr>
      <t xml:space="preserve">
Abgeleitet von den Turnieranmeldungen kann hier die entsprechende Eingabe vorgenommen werden, welche dann auf Folgeblätter übertragen werden.
</t>
    </r>
    <r>
      <rPr>
        <b/>
        <sz val="10"/>
        <rFont val="Arial"/>
        <family val="2"/>
      </rPr>
      <t>Datum (B3):</t>
    </r>
    <r>
      <rPr>
        <sz val="10"/>
        <rFont val="Arial"/>
        <family val="0"/>
      </rPr>
      <t xml:space="preserve">
Das Datum der Veranstaltung.
</t>
    </r>
    <r>
      <rPr>
        <b/>
        <sz val="10"/>
        <rFont val="Arial"/>
        <family val="2"/>
      </rPr>
      <t>Beginn / Ende (B4 / B5):</t>
    </r>
    <r>
      <rPr>
        <sz val="10"/>
        <rFont val="Arial"/>
        <family val="0"/>
      </rPr>
      <t xml:space="preserve">
Die jeweilige Uhrzeit des Beginns und des Endes der Veranstaltung. Wichtig ist hierbei die Beachtung des zeittypischen Engabeformats Sunden:Minuten. Die Dauer in B7 errechnet sich dann aus diesen Angaben.
</t>
    </r>
    <r>
      <rPr>
        <b/>
        <sz val="10"/>
        <rFont val="Arial"/>
        <family val="2"/>
      </rPr>
      <t>Unterbrechungen / Pausen (B6):</t>
    </r>
    <r>
      <rPr>
        <sz val="10"/>
        <rFont val="Arial"/>
        <family val="0"/>
      </rPr>
      <t xml:space="preserve">
Angabe der Dauer von Pausen und Unterbrechungen in Summe, um die tatsächliche Veranstaltungszeit zu ermitteln. Hierunter sind Mittagspausen oder Unterbrechungen bis zur Endrunde im Rahmen einer Abendveranstaltung zu verstehen, nicht die Kleinstpausen zwischen zwei Klassen.
</t>
    </r>
    <r>
      <rPr>
        <b/>
        <sz val="10"/>
        <rFont val="Arial"/>
        <family val="2"/>
      </rPr>
      <t>Wertungsrichter:</t>
    </r>
    <r>
      <rPr>
        <sz val="10"/>
        <rFont val="Arial"/>
        <family val="0"/>
      </rPr>
      <t xml:space="preserve">
Es können maximal neun Wertungsrichter eingetragen werden. Die Namen werden in den Zellen B11 bis B19 eingetragen, die Vereine in den Zellen C11 bis C19. Die Spaltenbreite muß hier nicht ausreichend sein, da alle Informationen zum einen in die Tabelle darunter übertragen werden und in die Quittung. Ich habe hier auf eine komplette Anzeige verzichtet, das der Fokus dieses Blattes auf der
Berechnung der Vergütung liegt. Sowie in den Zellen B11 bis B19 ein Name eingetrage wird, wird dieser in die Zellen A24 bis A32 
übertragen. Für diese Wertungsrichter findet auch eine Berechnung statt. Sofern kein Eintrag in den Zellen B11 bis B19 ist, 
wird auch keine Berechnung durchgeführt.
</t>
    </r>
    <r>
      <rPr>
        <b/>
        <sz val="10"/>
        <rFont val="Arial"/>
        <family val="2"/>
      </rPr>
      <t>Fahrtkosten: Kilometer und Bahnkarte:</t>
    </r>
    <r>
      <rPr>
        <sz val="10"/>
        <rFont val="Arial"/>
        <family val="0"/>
      </rPr>
      <t xml:space="preserve">
Es können entweder die angegebenen Kilometer der Wertungsrichter eingetragen werden oder die tatsächlichen Kosten der 
Bahnkarte 2. Klasse. Die Kosten der Bahnkarte überschreiben das Kilometerentgeld. Bei der Berechnung des 
EUR-Betrages für die angegebenen Killometer erfolgt auf Basis des Kilometergeldwertes im Blatt Parameter.</t>
    </r>
  </si>
  <si>
    <t>Auswahl des Wertungsrichters:</t>
  </si>
  <si>
    <t xml:space="preserve"> Stunde(n)</t>
  </si>
  <si>
    <t xml:space="preserve"> €</t>
  </si>
  <si>
    <t>Verein</t>
  </si>
  <si>
    <t>Name der Veranstaltung</t>
  </si>
  <si>
    <t>Datum</t>
  </si>
  <si>
    <t>Beginn</t>
  </si>
  <si>
    <t>Ende</t>
  </si>
  <si>
    <t>Name</t>
  </si>
  <si>
    <t>Kilometer</t>
  </si>
  <si>
    <t>Berechnung des Entgeldes</t>
  </si>
  <si>
    <t>Wertungsrichter A</t>
  </si>
  <si>
    <t>Wertungsrichter B</t>
  </si>
  <si>
    <t>Wertungsrichter C</t>
  </si>
  <si>
    <t>Wertungsrichter D</t>
  </si>
  <si>
    <t>Wertungsrichter E</t>
  </si>
  <si>
    <t>Wertungsrichter F</t>
  </si>
  <si>
    <t>Wertungsrichter G</t>
  </si>
  <si>
    <t>Wertungsrichter H</t>
  </si>
  <si>
    <t>Gesamt</t>
  </si>
  <si>
    <t>Grundvergütung</t>
  </si>
  <si>
    <t>Verpflegung</t>
  </si>
  <si>
    <t>EUR pro km</t>
  </si>
  <si>
    <t>Dauer:</t>
  </si>
  <si>
    <t xml:space="preserve"> Uhr</t>
  </si>
  <si>
    <t xml:space="preserve"> Stunden</t>
  </si>
  <si>
    <t>zusätzlich</t>
  </si>
  <si>
    <t>zusätzl. Std.</t>
  </si>
  <si>
    <t>Entgeltberechnng</t>
  </si>
  <si>
    <t xml:space="preserve">über </t>
  </si>
  <si>
    <t>Stunden zusätzlich</t>
  </si>
  <si>
    <t xml:space="preserve"> </t>
  </si>
  <si>
    <t>Abrechnung Wertungsrichtereinsatz</t>
  </si>
  <si>
    <t>Veranstaltung:</t>
  </si>
  <si>
    <t>Datum:</t>
  </si>
  <si>
    <t>Beginn:</t>
  </si>
  <si>
    <t>Ende:</t>
  </si>
  <si>
    <t xml:space="preserve"> Kilometer</t>
  </si>
  <si>
    <t>Betrag dankend erhalten</t>
  </si>
  <si>
    <t>(Datum, Unterschrift)</t>
  </si>
  <si>
    <t>Markus Müller 1</t>
  </si>
  <si>
    <t>Markus Müller 2</t>
  </si>
  <si>
    <t>Markus Müller 3</t>
  </si>
  <si>
    <t>Markus Müller 4</t>
  </si>
  <si>
    <t>Markus Müller 5</t>
  </si>
  <si>
    <t>Std_Konst</t>
  </si>
  <si>
    <t>zusätzlich nach</t>
  </si>
  <si>
    <t>Verpflegung nach</t>
  </si>
  <si>
    <t>&lt;= nicht löschen, sonst falsche Berechnung! (Wert: 1:00)</t>
  </si>
  <si>
    <t>TSC Darf ich bitten?</t>
  </si>
  <si>
    <t>je weitere Stunde</t>
  </si>
  <si>
    <t xml:space="preserve"> Minuten</t>
  </si>
  <si>
    <t>Wichtig!</t>
  </si>
  <si>
    <t>Nur die gelb markierten Felder sollten geändert werden!</t>
  </si>
  <si>
    <t>Stunden unbedingt im Format HH:MM (Stunden:Minuten) eintragen!</t>
  </si>
  <si>
    <t>TSC 1</t>
  </si>
  <si>
    <t>TSC 2</t>
  </si>
  <si>
    <t>TSC 3</t>
  </si>
  <si>
    <t>TSC 4</t>
  </si>
  <si>
    <t>TSC 5</t>
  </si>
  <si>
    <t>Wertungsrichter I</t>
  </si>
  <si>
    <t>Das Arbeitsblatt "Parameter"</t>
  </si>
  <si>
    <t>Das Arbeitsblatt "Deckblatt"</t>
  </si>
  <si>
    <r>
      <t xml:space="preserve">Für jeden Wertungsrichter kann eine Empfangsquittung gedruckt werden. Die entsprechenden Werte werden aus dem Deckblatt entnommen.
</t>
    </r>
    <r>
      <rPr>
        <b/>
        <sz val="10"/>
        <rFont val="Arial"/>
        <family val="2"/>
      </rPr>
      <t>Wichtig:</t>
    </r>
    <r>
      <rPr>
        <sz val="10"/>
        <rFont val="Arial"/>
        <family val="0"/>
      </rPr>
      <t xml:space="preserve">
Das Layout ist nur ein Vorschlag. Wenn Sie ein anderes Layout bevorzugen, können Sie es Ihren Bedürfnissen anpassen.
</t>
    </r>
  </si>
  <si>
    <t>km Höchstentgelt</t>
  </si>
  <si>
    <t>Pausen / Unterbrechungen</t>
  </si>
  <si>
    <t>Verzicht</t>
  </si>
  <si>
    <t>Nein</t>
  </si>
  <si>
    <t>Berechnen</t>
  </si>
  <si>
    <t>Fahrtk. 2. Kl</t>
  </si>
  <si>
    <t>Fahrtkosten</t>
  </si>
  <si>
    <t>Übernachtung</t>
  </si>
  <si>
    <t>tatsächliche Dauer:</t>
  </si>
  <si>
    <t>Pausen:</t>
  </si>
  <si>
    <t>Fahrtkosten:</t>
  </si>
  <si>
    <t>Kilometer oder</t>
  </si>
  <si>
    <t>Bahnkosten</t>
  </si>
  <si>
    <t>Übernachtung ab</t>
  </si>
  <si>
    <t xml:space="preserve">und </t>
  </si>
  <si>
    <t xml:space="preserve"> km</t>
  </si>
  <si>
    <t>Prinzipiell?</t>
  </si>
  <si>
    <t>Kosten</t>
  </si>
  <si>
    <t xml:space="preserve">Diese Tabelle berechnet die Vergütung je Wertungsrichter einer Turnierveranstaltung. Sie basiert auf der "Aufwandsentschädigung und Fahrtkosten im zentralen Wertungsrichtereinsatz in Hessen" vom 18.04.2001, welche auf der HTV-Site zur Verfügung steht. Es ist ein Hilfsmittel, das ich im Rahmen von Vergleichsberechnungen erstellt habe.
Diese Anwendung ist nach bestem Wissen und Gewissen erstellt. Sollte jemand einen Fehler feststellen oder Verbesserungsvorschläge haben, so bitte ich Ihn, mir diese bekannzugeben, damit ich die Fehler beheben und/oder Verbesserungen einarbeiten und zur allgemeinen Kenntnis bringen kann.
Ich denke, da die meisten Turniere inzwischen mit PC-Programmen durchgeführt werden, kann diese Tabelle sicherlich auch während des Turniers genutzt werden und der schnellen und sicheren Abwicklung beitragen. Neben Excel gibt es ja auch noch andere Programme, die Excel-Dateien verarbeiten können.
ZWE des HTV
Thomas Liesem (zwe@htv.de)
</t>
  </si>
  <si>
    <t>"</t>
  </si>
  <si>
    <r>
      <t xml:space="preserve">Die Berechnung der Vergütung beruht auf einigen Konstanten, die im Reiter „Parameter“ definiert werden.
</t>
    </r>
    <r>
      <rPr>
        <b/>
        <sz val="10"/>
        <rFont val="Arial"/>
        <family val="2"/>
      </rPr>
      <t>Der Verein:</t>
    </r>
    <r>
      <rPr>
        <sz val="10"/>
        <rFont val="Arial"/>
        <family val="0"/>
      </rPr>
      <t xml:space="preserve">
In Zelle B1 kann der Name des Vereins eingetragen werden. Dieser text wird automatisch in alle anderen Arbeitsblätter übertragen.
</t>
    </r>
    <r>
      <rPr>
        <b/>
        <sz val="10"/>
        <rFont val="Arial"/>
        <family val="2"/>
      </rPr>
      <t>Die Grundvergütung:</t>
    </r>
    <r>
      <rPr>
        <sz val="10"/>
        <rFont val="Arial"/>
        <family val="0"/>
      </rPr>
      <t xml:space="preserve">
In Zelle B2 steht der Satz, der jeder Wertungsrichter pro Veranstaltung bis zum Ende der dritten Stunde erhält. Auf den Inhalt dieser Zelle referieren die entsprechenden Formeln!
</t>
    </r>
    <r>
      <rPr>
        <b/>
        <sz val="10"/>
        <rFont val="Arial"/>
        <family val="2"/>
      </rPr>
      <t>Zusätzlich nach:</t>
    </r>
    <r>
      <rPr>
        <sz val="10"/>
        <rFont val="Arial"/>
        <family val="0"/>
      </rPr>
      <t xml:space="preserve">
Nach Ablauf der Grundvergütungszeit, hier nach drei Stunden, sprich ab der ersten Minute der vierten Stunde, wird ein entsprechender Stundensatz berücksichtigt. Diese Zeitdauer Grundvergütung ist in Zelle B3 definiert und muss im Format HH:MM (Stunden:Minuten) eingeben werden, sonst stimmen die Berechnungen nicht.
</t>
    </r>
    <r>
      <rPr>
        <b/>
        <sz val="10"/>
        <rFont val="Arial"/>
        <family val="2"/>
      </rPr>
      <t>Je weitere Stunde:</t>
    </r>
    <r>
      <rPr>
        <sz val="10"/>
        <rFont val="Arial"/>
        <family val="0"/>
      </rPr>
      <t xml:space="preserve">
Diese Zelle beinhaltet den Betrag, der ab der vierten Stunde stündlich berechnet wird. Auch auf diesen Inhalt referieren die entsprechenden Fromeln.
</t>
    </r>
    <r>
      <rPr>
        <b/>
        <sz val="10"/>
        <rFont val="Arial"/>
        <family val="2"/>
      </rPr>
      <t>Verpflegung:</t>
    </r>
    <r>
      <rPr>
        <sz val="10"/>
        <rFont val="Arial"/>
        <family val="0"/>
      </rPr>
      <t xml:space="preserve">
Der Verpflegungssatz ist in Zelle B5 hinterlegt.
</t>
    </r>
    <r>
      <rPr>
        <b/>
        <sz val="10"/>
        <rFont val="Arial"/>
        <family val="2"/>
      </rPr>
      <t>Verpflegung nach:</t>
    </r>
    <r>
      <rPr>
        <sz val="10"/>
        <rFont val="Arial"/>
        <family val="0"/>
      </rPr>
      <t xml:space="preserve">
In dieser Zelle wird hinterlegt, nach wieviel Stunden der Verpflegungssatz zu berücksichtigen ist. Die Eingabe 07:00 bedeutet, das 
ab der achten Stunde, sprich sieben Stunden und eine Minute, der Verpflegungssatz aus Zelle B5 berücksichtigt wird.
</t>
    </r>
  </si>
  <si>
    <t>Das Arbeitsblatt "Quittung"</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</si>
</sst>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h:mm\ \'\Uh\r\'"/>
    <numFmt numFmtId="165" formatCode="hh:mm\ \Uh\r"/>
    <numFmt numFmtId="166" formatCode="h:mm;@"/>
    <numFmt numFmtId="167" formatCode="#,##0.00\ _€"/>
    <numFmt numFmtId="168" formatCode="0.0"/>
    <numFmt numFmtId="169" formatCode="[$-407]dddd\,\ d\.\ mmmm\ yyyy"/>
    <numFmt numFmtId="170" formatCode="#,##0.0000_ ;\-#,##0.0000\ "/>
    <numFmt numFmtId="171" formatCode="#,##0.00000_ ;\-#,##0.00000\ "/>
    <numFmt numFmtId="172" formatCode="#,##0.000_ ;\-#,##0.000\ "/>
    <numFmt numFmtId="173" formatCode="#,##0.00_ ;\-#,##0.00\ "/>
    <numFmt numFmtId="174" formatCode="#,##0.0_ ;\-#,##0.0\ "/>
    <numFmt numFmtId="175" formatCode="#,##0_ ;\-#,##0\ "/>
  </numFmts>
  <fonts count="13">
    <font>
      <sz val="10"/>
      <name val="Arial"/>
      <family val="0"/>
    </font>
    <font>
      <sz val="8"/>
      <name val="Arial"/>
      <family val="0"/>
    </font>
    <font>
      <b/>
      <sz val="12"/>
      <name val="Arial"/>
      <family val="2"/>
    </font>
    <font>
      <b/>
      <i/>
      <sz val="18"/>
      <name val="Arial"/>
      <family val="0"/>
    </font>
    <font>
      <sz val="18"/>
      <name val="Arial"/>
      <family val="0"/>
    </font>
    <font>
      <b/>
      <sz val="14"/>
      <name val="Arial"/>
      <family val="2"/>
    </font>
    <font>
      <b/>
      <sz val="11"/>
      <name val="Arial"/>
      <family val="2"/>
    </font>
    <font>
      <sz val="11"/>
      <name val="Arial"/>
      <family val="2"/>
    </font>
    <font>
      <sz val="9"/>
      <name val="Arial"/>
      <family val="0"/>
    </font>
    <font>
      <sz val="8"/>
      <name val="Tahoma"/>
      <family val="2"/>
    </font>
    <font>
      <sz val="10"/>
      <color indexed="9"/>
      <name val="Arial"/>
      <family val="0"/>
    </font>
    <font>
      <b/>
      <sz val="10"/>
      <name val="Arial"/>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indexed="10"/>
        <bgColor indexed="64"/>
      </patternFill>
    </fill>
  </fills>
  <borders count="8">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0" fillId="2" borderId="0" xfId="0" applyFill="1" applyBorder="1" applyAlignment="1">
      <alignment/>
    </xf>
    <xf numFmtId="20" fontId="0" fillId="2" borderId="0" xfId="0" applyNumberFormat="1" applyFill="1" applyBorder="1" applyAlignment="1">
      <alignment/>
    </xf>
    <xf numFmtId="0" fontId="0" fillId="2" borderId="0" xfId="0" applyFill="1" applyBorder="1" applyAlignment="1" quotePrefix="1">
      <alignment/>
    </xf>
    <xf numFmtId="0" fontId="0" fillId="2" borderId="0" xfId="0" applyFill="1" applyBorder="1" applyAlignment="1">
      <alignment horizontal="center"/>
    </xf>
    <xf numFmtId="0" fontId="0" fillId="2" borderId="0" xfId="0" applyFill="1" applyBorder="1" applyAlignment="1">
      <alignment horizontal="left"/>
    </xf>
    <xf numFmtId="0" fontId="0" fillId="2" borderId="0" xfId="0" applyFill="1" applyBorder="1" applyAlignment="1">
      <alignment/>
    </xf>
    <xf numFmtId="0" fontId="0" fillId="2" borderId="0" xfId="0" applyFill="1" applyBorder="1" applyAlignment="1">
      <alignment horizontal="right"/>
    </xf>
    <xf numFmtId="0" fontId="0" fillId="2" borderId="0" xfId="0" applyFill="1" applyAlignment="1">
      <alignment/>
    </xf>
    <xf numFmtId="0" fontId="3" fillId="2" borderId="0" xfId="0" applyFont="1" applyFill="1" applyAlignment="1">
      <alignment vertical="center"/>
    </xf>
    <xf numFmtId="0" fontId="4" fillId="2" borderId="0" xfId="0" applyFont="1" applyFill="1" applyAlignment="1">
      <alignment/>
    </xf>
    <xf numFmtId="0" fontId="4" fillId="2" borderId="0" xfId="0" applyFont="1" applyFill="1" applyAlignment="1" quotePrefix="1">
      <alignment/>
    </xf>
    <xf numFmtId="0" fontId="5" fillId="2" borderId="0" xfId="0" applyFont="1" applyFill="1" applyAlignment="1">
      <alignment horizontal="left"/>
    </xf>
    <xf numFmtId="0" fontId="6" fillId="2" borderId="0" xfId="0" applyFont="1" applyFill="1" applyAlignment="1">
      <alignment/>
    </xf>
    <xf numFmtId="0" fontId="7" fillId="2" borderId="0" xfId="0" applyFont="1" applyFill="1" applyAlignment="1">
      <alignment/>
    </xf>
    <xf numFmtId="0" fontId="0" fillId="2" borderId="0" xfId="0" applyFill="1" applyAlignment="1">
      <alignment horizontal="left" indent="1"/>
    </xf>
    <xf numFmtId="14" fontId="0" fillId="2" borderId="0" xfId="0" applyNumberFormat="1" applyFill="1" applyAlignment="1">
      <alignment/>
    </xf>
    <xf numFmtId="20" fontId="0" fillId="2" borderId="0" xfId="0" applyNumberFormat="1" applyFill="1" applyAlignment="1">
      <alignment/>
    </xf>
    <xf numFmtId="0" fontId="0" fillId="2" borderId="0" xfId="0" applyFill="1" applyAlignment="1" quotePrefix="1">
      <alignment/>
    </xf>
    <xf numFmtId="0" fontId="2" fillId="2" borderId="0" xfId="0" applyFont="1" applyFill="1" applyAlignment="1">
      <alignment/>
    </xf>
    <xf numFmtId="0" fontId="7" fillId="2" borderId="0" xfId="0" applyFont="1" applyFill="1" applyAlignment="1">
      <alignment/>
    </xf>
    <xf numFmtId="44" fontId="7" fillId="2" borderId="0" xfId="0" applyNumberFormat="1" applyFont="1" applyFill="1" applyAlignment="1">
      <alignment/>
    </xf>
    <xf numFmtId="0" fontId="6" fillId="2" borderId="0" xfId="0" applyFont="1" applyFill="1" applyAlignment="1">
      <alignment/>
    </xf>
    <xf numFmtId="44" fontId="6" fillId="2" borderId="0" xfId="0" applyNumberFormat="1" applyFont="1" applyFill="1" applyAlignment="1">
      <alignment/>
    </xf>
    <xf numFmtId="0" fontId="0" fillId="2" borderId="1" xfId="0" applyFill="1" applyBorder="1" applyAlignment="1">
      <alignment/>
    </xf>
    <xf numFmtId="0" fontId="0" fillId="0" borderId="0" xfId="0" applyAlignment="1" quotePrefix="1">
      <alignment/>
    </xf>
    <xf numFmtId="0" fontId="0" fillId="2" borderId="0" xfId="17" applyNumberFormat="1" applyFill="1" applyBorder="1" applyAlignment="1">
      <alignment/>
    </xf>
    <xf numFmtId="0" fontId="0" fillId="0" borderId="0" xfId="0" applyNumberFormat="1" applyAlignment="1">
      <alignment/>
    </xf>
    <xf numFmtId="0" fontId="0" fillId="2" borderId="0" xfId="0" applyNumberFormat="1" applyFill="1" applyAlignment="1">
      <alignment/>
    </xf>
    <xf numFmtId="44" fontId="0" fillId="2" borderId="1" xfId="17" applyFill="1" applyBorder="1" applyAlignment="1">
      <alignment horizontal="center"/>
    </xf>
    <xf numFmtId="20" fontId="0" fillId="2" borderId="1" xfId="0" applyNumberFormat="1" applyFill="1" applyBorder="1" applyAlignment="1">
      <alignment horizontal="center"/>
    </xf>
    <xf numFmtId="0" fontId="10" fillId="3" borderId="0" xfId="0" applyFont="1" applyFill="1" applyBorder="1" applyAlignment="1">
      <alignment horizontal="left"/>
    </xf>
    <xf numFmtId="0" fontId="10" fillId="3" borderId="0" xfId="0" applyFont="1" applyFill="1" applyBorder="1" applyAlignment="1">
      <alignment/>
    </xf>
    <xf numFmtId="0" fontId="10" fillId="3" borderId="0" xfId="0" applyFont="1" applyFill="1" applyBorder="1" applyAlignment="1">
      <alignment horizontal="center"/>
    </xf>
    <xf numFmtId="0" fontId="10" fillId="3" borderId="0" xfId="0" applyFont="1" applyFill="1" applyBorder="1" applyAlignment="1">
      <alignment horizontal="right"/>
    </xf>
    <xf numFmtId="44" fontId="0" fillId="2" borderId="1" xfId="0" applyNumberFormat="1" applyFill="1" applyBorder="1" applyAlignment="1">
      <alignment horizontal="center"/>
    </xf>
    <xf numFmtId="44" fontId="10" fillId="3" borderId="0" xfId="0" applyNumberFormat="1" applyFont="1" applyFill="1" applyBorder="1" applyAlignment="1">
      <alignment/>
    </xf>
    <xf numFmtId="20" fontId="10" fillId="3" borderId="0" xfId="0" applyNumberFormat="1" applyFont="1" applyFill="1" applyBorder="1" applyAlignment="1">
      <alignment horizontal="center"/>
    </xf>
    <xf numFmtId="44" fontId="10" fillId="3" borderId="0" xfId="0" applyNumberFormat="1" applyFont="1" applyFill="1" applyBorder="1" applyAlignment="1">
      <alignment horizontal="center"/>
    </xf>
    <xf numFmtId="0" fontId="0" fillId="2" borderId="1" xfId="0" applyFill="1" applyBorder="1" applyAlignment="1">
      <alignment horizontal="left"/>
    </xf>
    <xf numFmtId="0" fontId="2" fillId="4" borderId="0" xfId="0" applyFont="1" applyFill="1" applyAlignment="1">
      <alignment horizontal="left"/>
    </xf>
    <xf numFmtId="0" fontId="2" fillId="0" borderId="0" xfId="0" applyFont="1" applyAlignment="1">
      <alignment horizontal="left"/>
    </xf>
    <xf numFmtId="0" fontId="0" fillId="2" borderId="0" xfId="0" applyFill="1" applyBorder="1" applyAlignment="1">
      <alignment horizontal="left" indent="3"/>
    </xf>
    <xf numFmtId="0" fontId="0" fillId="2" borderId="0" xfId="0" applyFill="1" applyBorder="1" applyAlignment="1">
      <alignment horizontal="left" vertical="top" wrapText="1"/>
    </xf>
    <xf numFmtId="0" fontId="0" fillId="2" borderId="0" xfId="0" applyFill="1" applyBorder="1" applyAlignment="1">
      <alignment vertical="top"/>
    </xf>
    <xf numFmtId="0" fontId="2" fillId="2" borderId="0" xfId="0" applyFont="1" applyFill="1" applyBorder="1" applyAlignment="1">
      <alignment vertical="top" wrapText="1"/>
    </xf>
    <xf numFmtId="0" fontId="0" fillId="2" borderId="0" xfId="0" applyFill="1" applyBorder="1" applyAlignment="1">
      <alignment vertical="top" wrapText="1"/>
    </xf>
    <xf numFmtId="44" fontId="0" fillId="4" borderId="0" xfId="17" applyFill="1" applyAlignment="1" applyProtection="1">
      <alignment/>
      <protection locked="0"/>
    </xf>
    <xf numFmtId="14" fontId="0" fillId="2" borderId="2" xfId="0" applyNumberFormat="1" applyFill="1" applyBorder="1" applyAlignment="1" applyProtection="1">
      <alignment/>
      <protection locked="0"/>
    </xf>
    <xf numFmtId="0" fontId="0" fillId="2" borderId="2" xfId="0" applyFill="1" applyBorder="1" applyAlignment="1" applyProtection="1">
      <alignment horizontal="center"/>
      <protection locked="0"/>
    </xf>
    <xf numFmtId="49" fontId="0" fillId="2" borderId="2" xfId="0" applyNumberFormat="1" applyFill="1" applyBorder="1" applyAlignment="1" applyProtection="1">
      <alignment/>
      <protection locked="0"/>
    </xf>
    <xf numFmtId="168" fontId="0" fillId="2" borderId="2" xfId="0" applyNumberFormat="1" applyFill="1" applyBorder="1" applyAlignment="1" applyProtection="1">
      <alignment horizontal="center"/>
      <protection locked="0"/>
    </xf>
    <xf numFmtId="166" fontId="0" fillId="2" borderId="2" xfId="0" applyNumberFormat="1" applyFill="1" applyBorder="1" applyAlignment="1" applyProtection="1">
      <alignment/>
      <protection locked="0"/>
    </xf>
    <xf numFmtId="166" fontId="0" fillId="2" borderId="0" xfId="0" applyNumberFormat="1" applyFill="1" applyBorder="1" applyAlignment="1">
      <alignment/>
    </xf>
    <xf numFmtId="49" fontId="0" fillId="2" borderId="3" xfId="0" applyNumberFormat="1" applyFill="1" applyBorder="1" applyAlignment="1" applyProtection="1">
      <alignment/>
      <protection locked="0"/>
    </xf>
    <xf numFmtId="49" fontId="0" fillId="4" borderId="0" xfId="0" applyNumberFormat="1" applyFill="1" applyAlignment="1" applyProtection="1">
      <alignment/>
      <protection locked="0"/>
    </xf>
    <xf numFmtId="166" fontId="0" fillId="4" borderId="0" xfId="0" applyNumberFormat="1" applyFill="1" applyAlignment="1" applyProtection="1">
      <alignment/>
      <protection locked="0"/>
    </xf>
    <xf numFmtId="0" fontId="0" fillId="2" borderId="0" xfId="0" applyFill="1" applyAlignment="1">
      <alignment horizontal="center"/>
    </xf>
    <xf numFmtId="44" fontId="0" fillId="2" borderId="1" xfId="0" applyNumberFormat="1" applyFill="1" applyBorder="1" applyAlignment="1">
      <alignment/>
    </xf>
    <xf numFmtId="0" fontId="0" fillId="2" borderId="0" xfId="0" applyFill="1" applyBorder="1" applyAlignment="1" applyProtection="1">
      <alignment/>
      <protection locked="0"/>
    </xf>
    <xf numFmtId="44" fontId="0" fillId="2" borderId="2" xfId="17" applyFill="1" applyBorder="1" applyAlignment="1" applyProtection="1">
      <alignment/>
      <protection locked="0"/>
    </xf>
    <xf numFmtId="0" fontId="0" fillId="2" borderId="0" xfId="0" applyFill="1" applyAlignment="1">
      <alignment horizontal="left" indent="2"/>
    </xf>
    <xf numFmtId="20" fontId="0" fillId="4" borderId="0" xfId="17" applyNumberFormat="1" applyFill="1" applyAlignment="1" applyProtection="1">
      <alignment/>
      <protection locked="0"/>
    </xf>
    <xf numFmtId="175" fontId="0" fillId="4" borderId="0" xfId="17" applyNumberFormat="1" applyFill="1" applyAlignment="1" applyProtection="1">
      <alignment/>
      <protection locked="0"/>
    </xf>
    <xf numFmtId="18" fontId="0" fillId="2" borderId="0" xfId="0" applyNumberFormat="1" applyFill="1" applyBorder="1" applyAlignment="1">
      <alignment horizontal="center"/>
    </xf>
    <xf numFmtId="0" fontId="11" fillId="2" borderId="0" xfId="0" applyFont="1" applyFill="1" applyBorder="1" applyAlignment="1">
      <alignment vertical="top" wrapText="1"/>
    </xf>
    <xf numFmtId="0" fontId="0" fillId="5" borderId="0" xfId="0" applyFill="1" applyAlignment="1">
      <alignment/>
    </xf>
    <xf numFmtId="166" fontId="0" fillId="0" borderId="0" xfId="0" applyNumberFormat="1" applyFill="1" applyAlignment="1" applyProtection="1">
      <alignment/>
      <protection/>
    </xf>
    <xf numFmtId="0" fontId="2" fillId="4" borderId="0" xfId="0" applyFont="1" applyFill="1" applyAlignment="1">
      <alignment horizontal="left"/>
    </xf>
    <xf numFmtId="0" fontId="0" fillId="2" borderId="4" xfId="0" applyFill="1" applyBorder="1" applyAlignment="1">
      <alignment horizontal="center"/>
    </xf>
    <xf numFmtId="0" fontId="0" fillId="2" borderId="5" xfId="0" applyFill="1" applyBorder="1" applyAlignment="1">
      <alignment horizontal="center"/>
    </xf>
    <xf numFmtId="0" fontId="0" fillId="2" borderId="0" xfId="0" applyFill="1" applyBorder="1" applyAlignment="1">
      <alignment horizontal="center"/>
    </xf>
    <xf numFmtId="0" fontId="5" fillId="2" borderId="0" xfId="0" applyFont="1" applyFill="1" applyAlignment="1">
      <alignment horizontal="left"/>
    </xf>
    <xf numFmtId="0" fontId="8" fillId="2" borderId="6" xfId="0" applyFont="1" applyFill="1" applyBorder="1" applyAlignment="1">
      <alignment horizontal="center"/>
    </xf>
    <xf numFmtId="0" fontId="0" fillId="2" borderId="3" xfId="0" applyFill="1" applyBorder="1" applyAlignment="1">
      <alignment horizontal="center"/>
    </xf>
    <xf numFmtId="0" fontId="0" fillId="2" borderId="7" xfId="0" applyFill="1" applyBorder="1" applyAlignment="1">
      <alignment horizontal="center"/>
    </xf>
    <xf numFmtId="0" fontId="0" fillId="2" borderId="0" xfId="0" applyFill="1" applyBorder="1" applyAlignment="1">
      <alignment horizontal="left" vertical="top" wrapText="1"/>
    </xf>
    <xf numFmtId="0" fontId="0" fillId="2" borderId="0" xfId="0" applyFill="1" applyBorder="1" applyAlignment="1">
      <alignment horizontal="center" vertical="top"/>
    </xf>
    <xf numFmtId="0" fontId="0" fillId="2" borderId="2" xfId="0" applyFill="1" applyBorder="1" applyAlignment="1" applyProtection="1">
      <alignment horizontal="center"/>
      <protection hidden="1"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0</xdr:row>
      <xdr:rowOff>76200</xdr:rowOff>
    </xdr:from>
    <xdr:to>
      <xdr:col>8</xdr:col>
      <xdr:colOff>942975</xdr:colOff>
      <xdr:row>2</xdr:row>
      <xdr:rowOff>57150</xdr:rowOff>
    </xdr:to>
    <xdr:pic>
      <xdr:nvPicPr>
        <xdr:cNvPr id="1" name="CommandButton1"/>
        <xdr:cNvPicPr preferRelativeResize="1">
          <a:picLocks noChangeAspect="1"/>
        </xdr:cNvPicPr>
      </xdr:nvPicPr>
      <xdr:blipFill>
        <a:blip r:embed="rId1"/>
        <a:stretch>
          <a:fillRect/>
        </a:stretch>
      </xdr:blipFill>
      <xdr:spPr>
        <a:xfrm>
          <a:off x="4772025" y="76200"/>
          <a:ext cx="9144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tabColor indexed="9"/>
  </sheetPr>
  <dimension ref="A1:I15"/>
  <sheetViews>
    <sheetView workbookViewId="0" topLeftCell="A1">
      <selection activeCell="B1" sqref="B1"/>
    </sheetView>
  </sheetViews>
  <sheetFormatPr defaultColWidth="9.140625" defaultRowHeight="12.75"/>
  <cols>
    <col min="1" max="1" width="18.140625" style="0" bestFit="1" customWidth="1"/>
    <col min="2" max="2" width="9.7109375" style="0" customWidth="1"/>
  </cols>
  <sheetData>
    <row r="1" spans="1:2" ht="12.75">
      <c r="A1" t="s">
        <v>5</v>
      </c>
      <c r="B1" s="55" t="s">
        <v>51</v>
      </c>
    </row>
    <row r="2" spans="1:2" ht="12.75">
      <c r="A2" t="s">
        <v>22</v>
      </c>
      <c r="B2" s="47">
        <v>16</v>
      </c>
    </row>
    <row r="3" spans="1:5" ht="12.75">
      <c r="A3" t="s">
        <v>48</v>
      </c>
      <c r="B3" s="56">
        <v>0.125</v>
      </c>
      <c r="C3" s="25" t="s">
        <v>27</v>
      </c>
      <c r="D3" s="27">
        <f>HOUR(B3)*60+MINUTE(B3)</f>
        <v>180</v>
      </c>
      <c r="E3" s="25" t="s">
        <v>53</v>
      </c>
    </row>
    <row r="4" spans="1:2" ht="12.75">
      <c r="A4" t="s">
        <v>52</v>
      </c>
      <c r="B4" s="47">
        <v>6</v>
      </c>
    </row>
    <row r="5" spans="1:2" ht="12.75">
      <c r="A5" t="s">
        <v>23</v>
      </c>
      <c r="B5" s="47">
        <v>16</v>
      </c>
    </row>
    <row r="6" spans="1:5" ht="12.75">
      <c r="A6" t="s">
        <v>49</v>
      </c>
      <c r="B6" s="56">
        <v>0.2916666666666667</v>
      </c>
      <c r="C6" s="25" t="s">
        <v>27</v>
      </c>
      <c r="D6" s="27">
        <f>HOUR(B6)*60+MINUTE(B6)</f>
        <v>420</v>
      </c>
      <c r="E6" s="25" t="s">
        <v>53</v>
      </c>
    </row>
    <row r="7" spans="1:2" ht="12.75">
      <c r="A7" t="s">
        <v>24</v>
      </c>
      <c r="B7" s="47">
        <v>0.27</v>
      </c>
    </row>
    <row r="8" spans="1:2" ht="12.75">
      <c r="A8" t="s">
        <v>66</v>
      </c>
      <c r="B8" s="47">
        <v>250</v>
      </c>
    </row>
    <row r="9" spans="1:3" ht="12.75">
      <c r="A9" t="s">
        <v>79</v>
      </c>
      <c r="B9" s="62">
        <v>0.9166666666666666</v>
      </c>
      <c r="C9" t="s">
        <v>26</v>
      </c>
    </row>
    <row r="10" spans="1:3" ht="12.75">
      <c r="A10" t="s">
        <v>80</v>
      </c>
      <c r="B10" s="63">
        <v>100</v>
      </c>
      <c r="C10" t="s">
        <v>81</v>
      </c>
    </row>
    <row r="11" spans="1:3" ht="12.75">
      <c r="A11" t="s">
        <v>47</v>
      </c>
      <c r="B11" s="67">
        <v>0.041666666666666664</v>
      </c>
      <c r="C11" s="25" t="s">
        <v>50</v>
      </c>
    </row>
    <row r="13" spans="2:8" ht="15.75">
      <c r="B13" s="40" t="s">
        <v>54</v>
      </c>
      <c r="C13" s="41"/>
      <c r="D13" s="41"/>
      <c r="E13" s="41"/>
      <c r="F13" s="41"/>
      <c r="G13" s="41"/>
      <c r="H13" s="41"/>
    </row>
    <row r="14" spans="2:9" ht="15.75">
      <c r="B14" s="68" t="s">
        <v>55</v>
      </c>
      <c r="C14" s="68"/>
      <c r="D14" s="68"/>
      <c r="E14" s="68"/>
      <c r="F14" s="68"/>
      <c r="G14" s="68"/>
      <c r="H14" s="68"/>
      <c r="I14" s="68"/>
    </row>
    <row r="15" spans="2:9" ht="15.75">
      <c r="B15" s="68" t="s">
        <v>56</v>
      </c>
      <c r="C15" s="68"/>
      <c r="D15" s="68"/>
      <c r="E15" s="68"/>
      <c r="F15" s="68"/>
      <c r="G15" s="68"/>
      <c r="H15" s="68"/>
      <c r="I15" s="68"/>
    </row>
  </sheetData>
  <sheetProtection password="E2BC" sheet="1" objects="1" scenarios="1"/>
  <mergeCells count="2">
    <mergeCell ref="B15:I15"/>
    <mergeCell ref="B14:I14"/>
  </mergeCells>
  <dataValidations count="6">
    <dataValidation type="time" showInputMessage="1" showErrorMessage="1" errorTitle="Falsches Format" error="Bitte prüfen Sie das Format der Eingabe (SS:MM)!" sqref="B3">
      <formula1>0</formula1>
      <formula2>0.9993055555555556</formula2>
    </dataValidation>
    <dataValidation type="decimal" showInputMessage="1" showErrorMessage="1" errorTitle="Bitte Eingabe prüfen!" error="Keine numerische Eingabe oder ausserhalb der gültigen Bandbreite (0-100)!" sqref="B2">
      <formula1>0</formula1>
      <formula2>100</formula2>
    </dataValidation>
    <dataValidation type="decimal" showInputMessage="1" showErrorMessage="1" errorTitle="Keine gültige Eingabe!" error="Bitte einen numerischen Wert eingeben oder eine Eingabe innerhalb der Bandbreite vornehmen (0-100)!" sqref="B4:B5">
      <formula1>0</formula1>
      <formula2>100</formula2>
    </dataValidation>
    <dataValidation type="decimal" allowBlank="1" showInputMessage="1" showErrorMessage="1" errorTitle="Keine gültige Eingabe!" error="Bitte einen numerischen Wert eingeben oder eine Eingabe innerhalb der Bandbreite vornehmen (0-5)!" sqref="B7">
      <formula1>0</formula1>
      <formula2>5</formula2>
    </dataValidation>
    <dataValidation type="time" operator="equal" showInputMessage="1" showErrorMessage="1" errorTitle="Keine ggültige Eingabe!" error="Bitte den Wert 1:00 eingeben!" sqref="B11">
      <formula1>0.041666666666666664</formula1>
    </dataValidation>
    <dataValidation showInputMessage="1" showErrorMessage="1" errorTitle="Fehlende Eingabe!" error="Bitte den Vereinsnamen eingeben!" sqref="B1"/>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abColor indexed="10"/>
    <pageSetUpPr fitToPage="1"/>
  </sheetPr>
  <dimension ref="A1:J40"/>
  <sheetViews>
    <sheetView tabSelected="1" workbookViewId="0" topLeftCell="B1">
      <selection activeCell="F12" sqref="F12"/>
    </sheetView>
  </sheetViews>
  <sheetFormatPr defaultColWidth="9.140625" defaultRowHeight="12.75"/>
  <cols>
    <col min="1" max="1" width="0" style="8" hidden="1" customWidth="1"/>
    <col min="2" max="2" width="23.7109375" style="8" bestFit="1" customWidth="1"/>
    <col min="3" max="3" width="14.7109375" style="8" customWidth="1"/>
    <col min="4" max="4" width="11.57421875" style="8" bestFit="1" customWidth="1"/>
    <col min="5" max="5" width="12.8515625" style="8" customWidth="1"/>
    <col min="6" max="9" width="14.7109375" style="8" customWidth="1"/>
    <col min="10" max="10" width="9.7109375" style="8" customWidth="1"/>
    <col min="11" max="16384" width="9.140625" style="8" customWidth="1"/>
  </cols>
  <sheetData>
    <row r="1" spans="2:10" ht="12.75">
      <c r="B1" s="1" t="s">
        <v>5</v>
      </c>
      <c r="C1" s="1" t="str">
        <f>Verein</f>
        <v>TSC Darf ich bitten?</v>
      </c>
      <c r="D1" s="1"/>
      <c r="E1" s="1"/>
      <c r="F1" s="1"/>
      <c r="G1" s="1"/>
      <c r="H1" s="1"/>
      <c r="I1" s="1"/>
      <c r="J1" s="1"/>
    </row>
    <row r="2" spans="2:10" ht="12.75">
      <c r="B2" s="1" t="s">
        <v>6</v>
      </c>
      <c r="C2" s="54"/>
      <c r="D2" s="59"/>
      <c r="E2" s="59"/>
      <c r="F2" s="1"/>
      <c r="G2" s="1"/>
      <c r="H2" s="1"/>
      <c r="I2" s="1"/>
      <c r="J2" s="1"/>
    </row>
    <row r="3" spans="2:10" ht="12.75">
      <c r="B3" s="1" t="s">
        <v>7</v>
      </c>
      <c r="C3" s="48">
        <v>38991</v>
      </c>
      <c r="D3" s="1"/>
      <c r="E3" s="1"/>
      <c r="F3" s="1"/>
      <c r="G3" s="1"/>
      <c r="H3" s="1"/>
      <c r="I3" s="1"/>
      <c r="J3" s="1"/>
    </row>
    <row r="4" spans="2:10" ht="12.75">
      <c r="B4" s="1" t="s">
        <v>8</v>
      </c>
      <c r="C4" s="52">
        <v>0.5</v>
      </c>
      <c r="D4" s="3" t="s">
        <v>26</v>
      </c>
      <c r="E4" s="1"/>
      <c r="F4" s="1"/>
      <c r="G4" s="1"/>
      <c r="H4" s="1"/>
      <c r="I4" s="1"/>
      <c r="J4" s="1"/>
    </row>
    <row r="5" spans="2:10" ht="12.75">
      <c r="B5" s="1" t="s">
        <v>9</v>
      </c>
      <c r="C5" s="52">
        <v>0.9583333333333334</v>
      </c>
      <c r="D5" s="3" t="s">
        <v>26</v>
      </c>
      <c r="E5" s="1"/>
      <c r="F5" s="1"/>
      <c r="G5" s="1"/>
      <c r="H5" s="1"/>
      <c r="I5" s="1"/>
      <c r="J5" s="1"/>
    </row>
    <row r="6" spans="2:10" ht="12.75">
      <c r="B6" s="1" t="s">
        <v>67</v>
      </c>
      <c r="C6" s="52">
        <v>0.041666666666666664</v>
      </c>
      <c r="D6" s="3" t="s">
        <v>27</v>
      </c>
      <c r="E6" s="1"/>
      <c r="F6" s="1"/>
      <c r="G6" s="1"/>
      <c r="H6" s="1"/>
      <c r="I6" s="1"/>
      <c r="J6" s="1"/>
    </row>
    <row r="7" spans="2:10" ht="12.75">
      <c r="B7" s="1" t="s">
        <v>74</v>
      </c>
      <c r="C7" s="53">
        <f>C5-C4-C6</f>
        <v>0.4166666666666667</v>
      </c>
      <c r="D7" s="3" t="s">
        <v>27</v>
      </c>
      <c r="E7" s="1"/>
      <c r="F7" s="26"/>
      <c r="G7" s="1"/>
      <c r="H7" s="17"/>
      <c r="I7" s="28"/>
      <c r="J7" s="1"/>
    </row>
    <row r="8" spans="2:10" ht="12.75">
      <c r="B8" s="1"/>
      <c r="C8" s="2"/>
      <c r="D8" s="1"/>
      <c r="E8" s="1"/>
      <c r="F8" s="1"/>
      <c r="G8" s="1"/>
      <c r="H8" s="1"/>
      <c r="I8" s="1"/>
      <c r="J8" s="1"/>
    </row>
    <row r="9" spans="2:10" ht="12.75">
      <c r="B9" s="1"/>
      <c r="C9" s="2"/>
      <c r="D9" s="1"/>
      <c r="E9" s="1"/>
      <c r="F9" s="1"/>
      <c r="G9" s="69" t="s">
        <v>72</v>
      </c>
      <c r="H9" s="70"/>
      <c r="I9" s="69" t="s">
        <v>73</v>
      </c>
      <c r="J9" s="71"/>
    </row>
    <row r="10" spans="2:10" ht="12.75">
      <c r="B10" s="1"/>
      <c r="C10" s="1" t="s">
        <v>10</v>
      </c>
      <c r="D10" s="1" t="s">
        <v>5</v>
      </c>
      <c r="E10" s="57" t="s">
        <v>68</v>
      </c>
      <c r="F10" s="57" t="s">
        <v>23</v>
      </c>
      <c r="G10" s="4" t="s">
        <v>11</v>
      </c>
      <c r="H10" s="4" t="s">
        <v>71</v>
      </c>
      <c r="I10" s="4" t="s">
        <v>83</v>
      </c>
      <c r="J10" s="1" t="s">
        <v>82</v>
      </c>
    </row>
    <row r="11" spans="2:10" ht="12.75">
      <c r="B11" s="42" t="s">
        <v>13</v>
      </c>
      <c r="C11" s="50" t="s">
        <v>42</v>
      </c>
      <c r="D11" s="50" t="s">
        <v>57</v>
      </c>
      <c r="E11" s="78" t="s">
        <v>69</v>
      </c>
      <c r="F11" s="78" t="s">
        <v>70</v>
      </c>
      <c r="G11" s="51">
        <v>50</v>
      </c>
      <c r="H11" s="60"/>
      <c r="I11" s="60"/>
      <c r="J11" s="64" t="str">
        <f aca="true" t="shared" si="0" ref="J11:J19">IF(C11="","",IF(AND($C$5&gt;=Zeit,($G11/2)&gt;=Entf),"Ja","Nein"))</f>
        <v>Nein</v>
      </c>
    </row>
    <row r="12" spans="2:10" ht="12.75">
      <c r="B12" s="42" t="s">
        <v>14</v>
      </c>
      <c r="C12" s="50" t="s">
        <v>43</v>
      </c>
      <c r="D12" s="50" t="s">
        <v>58</v>
      </c>
      <c r="E12" s="78" t="s">
        <v>69</v>
      </c>
      <c r="F12" s="78" t="s">
        <v>70</v>
      </c>
      <c r="G12" s="51">
        <v>50</v>
      </c>
      <c r="H12" s="60"/>
      <c r="I12" s="60"/>
      <c r="J12" s="64" t="str">
        <f t="shared" si="0"/>
        <v>Nein</v>
      </c>
    </row>
    <row r="13" spans="2:10" ht="12.75">
      <c r="B13" s="42" t="s">
        <v>15</v>
      </c>
      <c r="C13" s="50" t="s">
        <v>44</v>
      </c>
      <c r="D13" s="50" t="s">
        <v>59</v>
      </c>
      <c r="E13" s="78" t="s">
        <v>69</v>
      </c>
      <c r="F13" s="78" t="s">
        <v>70</v>
      </c>
      <c r="G13" s="51">
        <v>50</v>
      </c>
      <c r="H13" s="60"/>
      <c r="I13" s="60"/>
      <c r="J13" s="64" t="str">
        <f t="shared" si="0"/>
        <v>Nein</v>
      </c>
    </row>
    <row r="14" spans="2:10" ht="12.75">
      <c r="B14" s="42" t="s">
        <v>16</v>
      </c>
      <c r="C14" s="50" t="s">
        <v>45</v>
      </c>
      <c r="D14" s="50" t="s">
        <v>60</v>
      </c>
      <c r="E14" s="78" t="s">
        <v>69</v>
      </c>
      <c r="F14" s="78" t="s">
        <v>70</v>
      </c>
      <c r="G14" s="51">
        <v>50</v>
      </c>
      <c r="H14" s="60"/>
      <c r="I14" s="60"/>
      <c r="J14" s="64" t="str">
        <f t="shared" si="0"/>
        <v>Nein</v>
      </c>
    </row>
    <row r="15" spans="2:10" ht="12.75">
      <c r="B15" s="42" t="s">
        <v>17</v>
      </c>
      <c r="C15" s="50" t="s">
        <v>46</v>
      </c>
      <c r="D15" s="50" t="s">
        <v>61</v>
      </c>
      <c r="E15" s="78" t="s">
        <v>69</v>
      </c>
      <c r="F15" s="78" t="s">
        <v>70</v>
      </c>
      <c r="G15" s="51">
        <v>50</v>
      </c>
      <c r="H15" s="60"/>
      <c r="I15" s="60"/>
      <c r="J15" s="64" t="str">
        <f t="shared" si="0"/>
        <v>Nein</v>
      </c>
    </row>
    <row r="16" spans="2:10" ht="12.75">
      <c r="B16" s="42" t="s">
        <v>18</v>
      </c>
      <c r="C16" s="50"/>
      <c r="D16" s="50"/>
      <c r="E16" s="78" t="s">
        <v>69</v>
      </c>
      <c r="F16" s="78" t="s">
        <v>70</v>
      </c>
      <c r="G16" s="51"/>
      <c r="H16" s="60"/>
      <c r="I16" s="60"/>
      <c r="J16" s="64">
        <f t="shared" si="0"/>
      </c>
    </row>
    <row r="17" spans="2:10" ht="12.75">
      <c r="B17" s="42" t="s">
        <v>19</v>
      </c>
      <c r="C17" s="50"/>
      <c r="D17" s="50"/>
      <c r="E17" s="78" t="s">
        <v>69</v>
      </c>
      <c r="F17" s="78" t="s">
        <v>70</v>
      </c>
      <c r="G17" s="51"/>
      <c r="H17" s="60"/>
      <c r="I17" s="60"/>
      <c r="J17" s="64">
        <f t="shared" si="0"/>
      </c>
    </row>
    <row r="18" spans="2:10" ht="12.75">
      <c r="B18" s="42" t="s">
        <v>20</v>
      </c>
      <c r="C18" s="50"/>
      <c r="D18" s="50"/>
      <c r="E18" s="78" t="s">
        <v>69</v>
      </c>
      <c r="F18" s="78" t="s">
        <v>70</v>
      </c>
      <c r="G18" s="51"/>
      <c r="H18" s="60"/>
      <c r="I18" s="60"/>
      <c r="J18" s="64">
        <f t="shared" si="0"/>
      </c>
    </row>
    <row r="19" spans="2:10" ht="12.75">
      <c r="B19" s="42" t="s">
        <v>62</v>
      </c>
      <c r="C19" s="50"/>
      <c r="D19" s="50"/>
      <c r="E19" s="78" t="s">
        <v>69</v>
      </c>
      <c r="F19" s="78" t="s">
        <v>70</v>
      </c>
      <c r="G19" s="49"/>
      <c r="H19" s="60"/>
      <c r="I19" s="60"/>
      <c r="J19" s="64">
        <f t="shared" si="0"/>
      </c>
    </row>
    <row r="20" spans="2:10" ht="12.75">
      <c r="B20" s="1"/>
      <c r="C20" s="1"/>
      <c r="D20" s="1"/>
      <c r="E20" s="1"/>
      <c r="F20" s="1"/>
      <c r="G20" s="1"/>
      <c r="H20" s="1"/>
      <c r="I20" s="1"/>
      <c r="J20" s="1"/>
    </row>
    <row r="21" spans="2:10" ht="12.75">
      <c r="B21" s="1"/>
      <c r="C21" s="1"/>
      <c r="D21" s="1"/>
      <c r="E21" s="1"/>
      <c r="F21" s="1"/>
      <c r="G21" s="1"/>
      <c r="H21" s="1"/>
      <c r="I21" s="1"/>
      <c r="J21" s="1"/>
    </row>
    <row r="22" spans="2:10" ht="12.75">
      <c r="B22" s="31" t="s">
        <v>12</v>
      </c>
      <c r="C22" s="32" t="s">
        <v>22</v>
      </c>
      <c r="D22" s="33" t="s">
        <v>29</v>
      </c>
      <c r="E22" s="34" t="s">
        <v>28</v>
      </c>
      <c r="F22" s="34" t="s">
        <v>23</v>
      </c>
      <c r="G22" s="34" t="s">
        <v>72</v>
      </c>
      <c r="H22" s="34" t="s">
        <v>73</v>
      </c>
      <c r="I22" s="34" t="s">
        <v>21</v>
      </c>
      <c r="J22" s="1"/>
    </row>
    <row r="23" spans="2:10" ht="12.75">
      <c r="B23" s="5"/>
      <c r="C23" s="6"/>
      <c r="D23" s="4"/>
      <c r="E23" s="7"/>
      <c r="F23" s="7"/>
      <c r="G23" s="7"/>
      <c r="I23" s="7"/>
      <c r="J23" s="1"/>
    </row>
    <row r="24" spans="1:10" ht="12.75">
      <c r="A24" s="6" t="s">
        <v>13</v>
      </c>
      <c r="B24" s="39" t="str">
        <f>IF(C11="","",CONCATENATE("WR A: ",C11))</f>
        <v>WR A: Markus Müller 1</v>
      </c>
      <c r="C24" s="29">
        <f>IF(C11="","",IF(E11="Ja","",Grund))</f>
        <v>16</v>
      </c>
      <c r="D24" s="30">
        <f aca="true" t="shared" si="1" ref="D24:D32">IF(C24="","",IF(HOUR($C$7)*60+MINUTE($C$7)&lt;=Min_Zusatz,0,IF(HOUR($C$7)*60+MINUTE($C$7)&gt;=Min_Zusatz,$C$7-Std_Zusatz,0)))</f>
        <v>0.2916666666666667</v>
      </c>
      <c r="E24" s="29">
        <f aca="true" t="shared" si="2" ref="E24:E32">IF(C24="","",IF(HOUR($C$7)*60+MINUTE($C$7)&lt;=Min_Zusatz,0,IF(HOUR(D24)*60+MINUTE(D24)&lt;=60,Zusatz,IF(MINUTE(D24)=0,TRUNC((HOUR(D24)*60+MINUTE(D24))/60,0)*Zusatz,(TRUNC((HOUR(D24)*60+MINUTE(D24))/60,0)+1)*Zusatz))))</f>
        <v>42</v>
      </c>
      <c r="F24" s="29">
        <f aca="true" t="shared" si="3" ref="F24:F32">IF(C24="","",IF(F11="Eigenleistung",0,IF(HOUR($C$7)*60+MINUTE($C$7)&lt;=Min_Essen,0,Verpflegung)))</f>
        <v>16</v>
      </c>
      <c r="G24" s="29">
        <f>IF(C24="","",IF(H11&lt;&gt;"",H11,IF(km_a*EUR_pro_km&gt;km_max,km_max,km_a*EUR_pro_km)))</f>
        <v>13.5</v>
      </c>
      <c r="H24" s="58">
        <f>IF(C24="","",I11)</f>
        <v>0</v>
      </c>
      <c r="I24" s="35">
        <f>IF(C24="","",C24+E24+F24+G24+H24)</f>
        <v>87.5</v>
      </c>
      <c r="J24" s="1"/>
    </row>
    <row r="25" spans="1:10" ht="12.75">
      <c r="A25" s="6" t="s">
        <v>14</v>
      </c>
      <c r="B25" s="39" t="str">
        <f>IF(C12="","",CONCATENATE("WR B: ",C12))</f>
        <v>WR B: Markus Müller 2</v>
      </c>
      <c r="C25" s="29">
        <f>IF(C12="","",IF(E12="Ja","",Grund))</f>
        <v>16</v>
      </c>
      <c r="D25" s="30">
        <f t="shared" si="1"/>
        <v>0.2916666666666667</v>
      </c>
      <c r="E25" s="29">
        <f t="shared" si="2"/>
        <v>42</v>
      </c>
      <c r="F25" s="29">
        <f t="shared" si="3"/>
        <v>16</v>
      </c>
      <c r="G25" s="29">
        <f>IF(C25="","",IF(H12&lt;&gt;"",H12,IF(km_b*EUR_pro_km&gt;km_max,km_max,km_b*EUR_pro_km)))</f>
        <v>13.5</v>
      </c>
      <c r="H25" s="58">
        <f aca="true" t="shared" si="4" ref="H25:H32">IF(C25="","",I12)</f>
        <v>0</v>
      </c>
      <c r="I25" s="35">
        <f aca="true" t="shared" si="5" ref="I25:I32">IF(C25="","",C25+E25+F25+G25+H25)</f>
        <v>87.5</v>
      </c>
      <c r="J25" s="1"/>
    </row>
    <row r="26" spans="1:10" ht="12.75">
      <c r="A26" s="6" t="s">
        <v>15</v>
      </c>
      <c r="B26" s="39" t="str">
        <f>IF(C13="","",CONCATENATE("WR C: ",C13))</f>
        <v>WR C: Markus Müller 3</v>
      </c>
      <c r="C26" s="58">
        <f>IF(C13="","",IF(E13="Ja","",Grund))</f>
        <v>16</v>
      </c>
      <c r="D26" s="30">
        <f t="shared" si="1"/>
        <v>0.2916666666666667</v>
      </c>
      <c r="E26" s="29">
        <f t="shared" si="2"/>
        <v>42</v>
      </c>
      <c r="F26" s="29">
        <f t="shared" si="3"/>
        <v>16</v>
      </c>
      <c r="G26" s="29">
        <f>IF(C26="","",IF(H13&lt;&gt;"",H13,IF(km_c*EUR_pro_km&gt;km_max,km_max,km_c*EUR_pro_km)))</f>
        <v>13.5</v>
      </c>
      <c r="H26" s="58">
        <f t="shared" si="4"/>
        <v>0</v>
      </c>
      <c r="I26" s="35">
        <f t="shared" si="5"/>
        <v>87.5</v>
      </c>
      <c r="J26" s="1"/>
    </row>
    <row r="27" spans="1:10" ht="12.75">
      <c r="A27" s="6" t="s">
        <v>16</v>
      </c>
      <c r="B27" s="39" t="str">
        <f>IF(C14="","",CONCATENATE("WR D: ",C14))</f>
        <v>WR D: Markus Müller 4</v>
      </c>
      <c r="C27" s="29">
        <f aca="true" t="shared" si="6" ref="C27:C32">IF(C14="","",IF(E14="Ja","",Grund))</f>
        <v>16</v>
      </c>
      <c r="D27" s="30">
        <f t="shared" si="1"/>
        <v>0.2916666666666667</v>
      </c>
      <c r="E27" s="29">
        <f t="shared" si="2"/>
        <v>42</v>
      </c>
      <c r="F27" s="29">
        <f t="shared" si="3"/>
        <v>16</v>
      </c>
      <c r="G27" s="29">
        <f>IF(C27="","",IF(H14&lt;&gt;"",H14,IF(km_d*EUR_pro_km&gt;km_max,km_max,km_d*EUR_pro_km)))</f>
        <v>13.5</v>
      </c>
      <c r="H27" s="58">
        <f t="shared" si="4"/>
        <v>0</v>
      </c>
      <c r="I27" s="35">
        <f t="shared" si="5"/>
        <v>87.5</v>
      </c>
      <c r="J27" s="1"/>
    </row>
    <row r="28" spans="1:10" ht="12.75">
      <c r="A28" s="6" t="s">
        <v>17</v>
      </c>
      <c r="B28" s="39" t="str">
        <f>IF(C15="","",CONCATENATE("WR E: ",C15))</f>
        <v>WR E: Markus Müller 5</v>
      </c>
      <c r="C28" s="29">
        <f t="shared" si="6"/>
        <v>16</v>
      </c>
      <c r="D28" s="30">
        <f t="shared" si="1"/>
        <v>0.2916666666666667</v>
      </c>
      <c r="E28" s="29">
        <f t="shared" si="2"/>
        <v>42</v>
      </c>
      <c r="F28" s="29">
        <f t="shared" si="3"/>
        <v>16</v>
      </c>
      <c r="G28" s="29">
        <f>IF(C28="","",IF(H15&lt;&gt;"",H15,IF(km_e*EUR_pro_km&gt;km_max,km_max,km_e*EUR_pro_km)))</f>
        <v>13.5</v>
      </c>
      <c r="H28" s="58">
        <f t="shared" si="4"/>
        <v>0</v>
      </c>
      <c r="I28" s="35">
        <f t="shared" si="5"/>
        <v>87.5</v>
      </c>
      <c r="J28" s="1"/>
    </row>
    <row r="29" spans="1:10" ht="12.75">
      <c r="A29" s="6" t="s">
        <v>18</v>
      </c>
      <c r="B29" s="39">
        <f>IF(C16="","",CONCATENATE("WR F: ",C16))</f>
      </c>
      <c r="C29" s="29">
        <f t="shared" si="6"/>
      </c>
      <c r="D29" s="30">
        <f t="shared" si="1"/>
      </c>
      <c r="E29" s="29">
        <f t="shared" si="2"/>
      </c>
      <c r="F29" s="29">
        <f t="shared" si="3"/>
      </c>
      <c r="G29" s="29">
        <f>IF(C29="","",IF(H16&lt;&gt;"",H16,IF(km_f*EUR_pro_km&gt;km_max,km_max,km_f*EUR_pro_km)))</f>
      </c>
      <c r="H29" s="58">
        <f t="shared" si="4"/>
      </c>
      <c r="I29" s="35">
        <f t="shared" si="5"/>
      </c>
      <c r="J29" s="1"/>
    </row>
    <row r="30" spans="1:10" ht="12.75">
      <c r="A30" s="6" t="s">
        <v>19</v>
      </c>
      <c r="B30" s="39">
        <f>IF(C17="","",CONCATENATE("WR G: ",C17))</f>
      </c>
      <c r="C30" s="29">
        <f t="shared" si="6"/>
      </c>
      <c r="D30" s="30">
        <f t="shared" si="1"/>
      </c>
      <c r="E30" s="29">
        <f t="shared" si="2"/>
      </c>
      <c r="F30" s="29">
        <f t="shared" si="3"/>
      </c>
      <c r="G30" s="29">
        <f>IF(C30="","",IF(H17&lt;&gt;"",H17,IF(km_g*EUR_pro_km&gt;km_max,km_max,km_g*EUR_pro_km)))</f>
      </c>
      <c r="H30" s="58">
        <f t="shared" si="4"/>
      </c>
      <c r="I30" s="35">
        <f t="shared" si="5"/>
      </c>
      <c r="J30" s="1"/>
    </row>
    <row r="31" spans="1:10" ht="12.75">
      <c r="A31" s="6" t="s">
        <v>20</v>
      </c>
      <c r="B31" s="39">
        <f>IF(C18="","",CONCATENATE("WR H: ",C18))</f>
      </c>
      <c r="C31" s="29">
        <f t="shared" si="6"/>
      </c>
      <c r="D31" s="30">
        <f t="shared" si="1"/>
      </c>
      <c r="E31" s="29">
        <f t="shared" si="2"/>
      </c>
      <c r="F31" s="29">
        <f t="shared" si="3"/>
      </c>
      <c r="G31" s="29">
        <f>IF(C31="","",IF(H18&lt;&gt;"",H18,IF(km_h*EUR_pro_km&gt;km_max,km_max,km_h*EUR_pro_km)))</f>
      </c>
      <c r="H31" s="58">
        <f t="shared" si="4"/>
      </c>
      <c r="I31" s="35">
        <f t="shared" si="5"/>
      </c>
      <c r="J31" s="1"/>
    </row>
    <row r="32" spans="1:10" ht="12.75">
      <c r="A32" s="6" t="s">
        <v>62</v>
      </c>
      <c r="B32" s="39">
        <f>IF(C19="","",CONCATENATE("WR I: ",C19))</f>
      </c>
      <c r="C32" s="29">
        <f t="shared" si="6"/>
      </c>
      <c r="D32" s="30">
        <f t="shared" si="1"/>
      </c>
      <c r="E32" s="29">
        <f t="shared" si="2"/>
      </c>
      <c r="F32" s="29">
        <f t="shared" si="3"/>
      </c>
      <c r="G32" s="29">
        <f>IF(C32="","",IF(H19&lt;&gt;"",H19,IF(km_i*EUR_pro_km&gt;km_max,km_max,km_i*EUR_pro_km)))</f>
      </c>
      <c r="H32" s="58">
        <f t="shared" si="4"/>
      </c>
      <c r="I32" s="35">
        <f t="shared" si="5"/>
      </c>
      <c r="J32" s="1"/>
    </row>
    <row r="33" spans="2:10" ht="12.75">
      <c r="B33" s="4"/>
      <c r="C33" s="6"/>
      <c r="D33" s="4"/>
      <c r="E33" s="4"/>
      <c r="F33" s="4"/>
      <c r="G33" s="4"/>
      <c r="I33" s="4"/>
      <c r="J33" s="1"/>
    </row>
    <row r="34" spans="2:10" ht="12.75">
      <c r="B34" s="33" t="s">
        <v>21</v>
      </c>
      <c r="C34" s="36">
        <f aca="true" t="shared" si="7" ref="C34:H34">SUM(C24:C33)</f>
        <v>80</v>
      </c>
      <c r="D34" s="37"/>
      <c r="E34" s="38">
        <f t="shared" si="7"/>
        <v>210</v>
      </c>
      <c r="F34" s="38">
        <f t="shared" si="7"/>
        <v>80</v>
      </c>
      <c r="G34" s="38">
        <f t="shared" si="7"/>
        <v>67.5</v>
      </c>
      <c r="H34" s="38">
        <f t="shared" si="7"/>
        <v>0</v>
      </c>
      <c r="I34" s="38">
        <f>SUM(I24:I33)</f>
        <v>437.5</v>
      </c>
      <c r="J34" s="1"/>
    </row>
    <row r="35" spans="2:10" ht="12.75">
      <c r="B35" s="1"/>
      <c r="C35" s="1"/>
      <c r="D35" s="1"/>
      <c r="E35" s="1"/>
      <c r="F35" s="1"/>
      <c r="G35" s="1"/>
      <c r="H35" s="1"/>
      <c r="I35" s="1"/>
      <c r="J35" s="1"/>
    </row>
    <row r="36" spans="2:10" ht="12.75">
      <c r="B36" s="1"/>
      <c r="C36" s="1"/>
      <c r="D36" s="1"/>
      <c r="E36" s="1"/>
      <c r="F36" s="1"/>
      <c r="G36" s="1"/>
      <c r="H36" s="1"/>
      <c r="I36" s="1"/>
      <c r="J36" s="1"/>
    </row>
    <row r="37" spans="2:10" ht="12.75">
      <c r="B37" s="1"/>
      <c r="C37" s="1"/>
      <c r="D37" s="1"/>
      <c r="E37" s="1"/>
      <c r="F37" s="1"/>
      <c r="G37" s="1"/>
      <c r="H37" s="1"/>
      <c r="I37" s="1"/>
      <c r="J37" s="1"/>
    </row>
    <row r="38" spans="2:10" ht="12.75">
      <c r="B38" s="1"/>
      <c r="C38" s="1"/>
      <c r="D38" s="1"/>
      <c r="E38" s="1"/>
      <c r="F38" s="1"/>
      <c r="G38" s="1"/>
      <c r="H38" s="1"/>
      <c r="I38" s="1"/>
      <c r="J38" s="1"/>
    </row>
    <row r="39" spans="2:10" ht="12.75">
      <c r="B39" s="1"/>
      <c r="C39" s="1"/>
      <c r="D39" s="1"/>
      <c r="E39" s="1"/>
      <c r="F39" s="1"/>
      <c r="G39" s="1"/>
      <c r="H39" s="1"/>
      <c r="I39" s="1"/>
      <c r="J39" s="1"/>
    </row>
    <row r="40" spans="2:10" ht="12.75">
      <c r="B40" s="1"/>
      <c r="C40" s="1"/>
      <c r="D40" s="1"/>
      <c r="E40" s="1"/>
      <c r="F40" s="1"/>
      <c r="G40" s="1"/>
      <c r="H40" s="1"/>
      <c r="I40" s="1"/>
      <c r="J40" s="1"/>
    </row>
  </sheetData>
  <sheetProtection sheet="1" objects="1" scenarios="1"/>
  <mergeCells count="2">
    <mergeCell ref="G9:H9"/>
    <mergeCell ref="I9:J9"/>
  </mergeCells>
  <dataValidations count="6">
    <dataValidation type="date" operator="greaterThanOrEqual" showInputMessage="1" showErrorMessage="1" errorTitle="Keine Datumseingabe!" error="Bitte Eingabe prüfen, ob korrektes Datumsformat oder Datum vor dem 01.09.2006!" sqref="C3">
      <formula1>38961</formula1>
    </dataValidation>
    <dataValidation type="time" showInputMessage="1" showErrorMessage="1" errorTitle="Falsche Zeiteingabe!" error="Bitte Eingabeformat (HH:MM) prüfen!" sqref="C4">
      <formula1>0</formula1>
      <formula2>0.9993055555555556</formula2>
    </dataValidation>
    <dataValidation type="time" showInputMessage="1" showErrorMessage="1" errorTitle="Keine Zeiteingabe!" error="Bitte Eingabeformat (HH:MM) prüfen!" sqref="C5:C6">
      <formula1>0</formula1>
      <formula2>0.9993055555555556</formula2>
    </dataValidation>
    <dataValidation type="decimal" showInputMessage="1" showErrorMessage="1" errorTitle="KM bitte als Zahl eingeben!" error="Keine numerische Eingabe!" sqref="G11:G19">
      <formula1>0</formula1>
      <formula2>9999</formula2>
    </dataValidation>
    <dataValidation type="list" allowBlank="1" showInputMessage="1" showErrorMessage="1" sqref="E11:E19">
      <formula1>"Ja,Nein"</formula1>
    </dataValidation>
    <dataValidation type="list" allowBlank="1" showInputMessage="1" showErrorMessage="1" sqref="F11:F19">
      <formula1>"Berechnen,Eigenleistung"</formula1>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9" r:id="rId3"/>
  <headerFooter alignWithMargins="0">
    <oddHeader>&amp;C&amp;"Arial,Bold"&amp;12Aufwandsentschädigung und Fahrtkostenersatz im zentralen Wertungsrichtereinsatz in Hessen</oddHeader>
    <oddFooter>&amp;L&amp;9gedruckt: &amp;D, &amp;T Uhr&amp;R&amp;9Seite &amp;P von &amp;N</oddFooter>
  </headerFooter>
  <ignoredErrors>
    <ignoredError sqref="C26" formula="1"/>
  </ignoredErrors>
  <legacyDrawing r:id="rId2"/>
</worksheet>
</file>

<file path=xl/worksheets/sheet3.xml><?xml version="1.0" encoding="utf-8"?>
<worksheet xmlns="http://schemas.openxmlformats.org/spreadsheetml/2006/main" xmlns:r="http://schemas.openxmlformats.org/officeDocument/2006/relationships">
  <sheetPr codeName="Sheet1">
    <tabColor indexed="11"/>
    <pageSetUpPr fitToPage="1"/>
  </sheetPr>
  <dimension ref="A2:I56"/>
  <sheetViews>
    <sheetView zoomScale="75" zoomScaleNormal="75" workbookViewId="0" topLeftCell="A1">
      <selection activeCell="F2" sqref="F2:G2"/>
    </sheetView>
  </sheetViews>
  <sheetFormatPr defaultColWidth="9.140625" defaultRowHeight="12.75"/>
  <cols>
    <col min="1" max="1" width="7.00390625" style="8" customWidth="1"/>
    <col min="2" max="2" width="9.140625" style="8" customWidth="1"/>
    <col min="3" max="3" width="4.28125" style="8" customWidth="1"/>
    <col min="4" max="4" width="2.421875" style="8" bestFit="1" customWidth="1"/>
    <col min="5" max="5" width="17.00390625" style="8" bestFit="1" customWidth="1"/>
    <col min="6" max="6" width="11.28125" style="8" bestFit="1" customWidth="1"/>
    <col min="7" max="7" width="10.8515625" style="8" bestFit="1" customWidth="1"/>
    <col min="8" max="8" width="9.140625" style="8" customWidth="1"/>
    <col min="9" max="9" width="19.00390625" style="8" customWidth="1"/>
    <col min="10" max="16384" width="9.140625" style="8" customWidth="1"/>
  </cols>
  <sheetData>
    <row r="1" ht="12.75"/>
    <row r="2" spans="2:7" ht="12.75">
      <c r="B2" s="8" t="s">
        <v>2</v>
      </c>
      <c r="F2" s="74" t="s">
        <v>13</v>
      </c>
      <c r="G2" s="75"/>
    </row>
    <row r="3" ht="12.75"/>
    <row r="4" spans="1:9" ht="12.75">
      <c r="A4" s="66"/>
      <c r="B4" s="66"/>
      <c r="C4" s="66"/>
      <c r="D4" s="66"/>
      <c r="E4" s="66"/>
      <c r="F4" s="66"/>
      <c r="G4" s="66"/>
      <c r="H4" s="66"/>
      <c r="I4" s="66"/>
    </row>
    <row r="5" ht="27" customHeight="1"/>
    <row r="6" spans="1:9" s="10" customFormat="1" ht="28.5" customHeight="1">
      <c r="A6" s="9" t="str">
        <f>Verein</f>
        <v>TSC Darf ich bitten?</v>
      </c>
      <c r="I6" s="11" t="s">
        <v>33</v>
      </c>
    </row>
    <row r="7" spans="1:9" s="10" customFormat="1" ht="12.75" customHeight="1">
      <c r="A7" s="9"/>
      <c r="I7" s="11"/>
    </row>
    <row r="8" spans="1:9" s="10" customFormat="1" ht="12.75" customHeight="1">
      <c r="A8" s="9"/>
      <c r="I8" s="11"/>
    </row>
    <row r="12" spans="2:8" ht="18">
      <c r="B12" s="72" t="s">
        <v>34</v>
      </c>
      <c r="C12" s="72"/>
      <c r="D12" s="72"/>
      <c r="E12" s="72"/>
      <c r="F12" s="72"/>
      <c r="G12" s="72"/>
      <c r="H12" s="72"/>
    </row>
    <row r="13" spans="2:8" ht="12.75" customHeight="1">
      <c r="B13" s="12"/>
      <c r="C13" s="12"/>
      <c r="D13" s="12"/>
      <c r="E13" s="12"/>
      <c r="F13" s="12"/>
      <c r="G13" s="12"/>
      <c r="H13" s="12"/>
    </row>
    <row r="14" spans="2:8" ht="12.75" customHeight="1">
      <c r="B14" s="12"/>
      <c r="C14" s="12"/>
      <c r="D14" s="12"/>
      <c r="E14" s="12"/>
      <c r="F14" s="12"/>
      <c r="G14" s="12"/>
      <c r="H14" s="12"/>
    </row>
    <row r="16" ht="15">
      <c r="B16" s="13" t="str">
        <f>CONCATENATE("Wertungsrichter:  ",VLOOKUP(F2,WR_Tab1,2,FALSE),", ",VLOOKUP(F2,WR_Tab1,3,FALSE))</f>
        <v>Wertungsrichter:  Markus Müller 1, TSC 1</v>
      </c>
    </row>
    <row r="17" spans="2:6" ht="15">
      <c r="B17" s="13"/>
      <c r="F17" s="13"/>
    </row>
    <row r="18" spans="2:6" ht="15">
      <c r="B18" s="13"/>
      <c r="F18" s="13"/>
    </row>
    <row r="19" spans="2:6" ht="15">
      <c r="B19" s="13"/>
      <c r="F19" s="13"/>
    </row>
    <row r="20" spans="3:6" ht="15">
      <c r="C20" s="13" t="s">
        <v>35</v>
      </c>
      <c r="F20" s="14">
        <f>IF(Veranst_Name="","",Veranst_Name)</f>
      </c>
    </row>
    <row r="21" spans="5:6" ht="12.75">
      <c r="E21" s="15" t="s">
        <v>36</v>
      </c>
      <c r="F21" s="16">
        <f>Deckblatt!C3</f>
        <v>38991</v>
      </c>
    </row>
    <row r="22" spans="5:7" ht="12.75">
      <c r="E22" s="15" t="s">
        <v>37</v>
      </c>
      <c r="F22" s="17">
        <f>Deckblatt!C4</f>
        <v>0.5</v>
      </c>
      <c r="G22" s="18" t="s">
        <v>26</v>
      </c>
    </row>
    <row r="23" spans="5:7" ht="12.75">
      <c r="E23" s="15" t="s">
        <v>38</v>
      </c>
      <c r="F23" s="17">
        <f>Deckblatt!C5</f>
        <v>0.9583333333333334</v>
      </c>
      <c r="G23" s="18" t="s">
        <v>26</v>
      </c>
    </row>
    <row r="24" spans="5:7" ht="12.75">
      <c r="E24" s="15" t="s">
        <v>75</v>
      </c>
      <c r="F24" s="17">
        <f>Deckblatt!C6</f>
        <v>0.041666666666666664</v>
      </c>
      <c r="G24" s="8" t="s">
        <v>3</v>
      </c>
    </row>
    <row r="25" spans="5:7" ht="12.75">
      <c r="E25" s="15" t="s">
        <v>25</v>
      </c>
      <c r="F25" s="17">
        <f>Deckblatt!C7</f>
        <v>0.4166666666666667</v>
      </c>
      <c r="G25" s="18" t="s">
        <v>27</v>
      </c>
    </row>
    <row r="26" spans="5:7" ht="12.75">
      <c r="E26" s="15" t="s">
        <v>76</v>
      </c>
      <c r="F26" s="17"/>
      <c r="G26" s="18"/>
    </row>
    <row r="27" spans="5:7" ht="12.75">
      <c r="E27" s="61" t="s">
        <v>77</v>
      </c>
      <c r="F27" s="8">
        <f>IF(F28&gt;0,"",VLOOKUP(F2,WR_Tab1,6,FALSE))</f>
        <v>50</v>
      </c>
      <c r="G27" s="18" t="s">
        <v>39</v>
      </c>
    </row>
    <row r="28" spans="5:7" ht="12.75">
      <c r="E28" s="61" t="s">
        <v>78</v>
      </c>
      <c r="F28" s="8">
        <f>VLOOKUP(F2,WR_Tab1,7,FALSE)</f>
        <v>0</v>
      </c>
      <c r="G28" s="8" t="s">
        <v>4</v>
      </c>
    </row>
    <row r="33" ht="15.75">
      <c r="B33" s="19" t="s">
        <v>30</v>
      </c>
    </row>
    <row r="35" spans="3:7" ht="14.25">
      <c r="C35" s="20" t="s">
        <v>22</v>
      </c>
      <c r="D35" s="20"/>
      <c r="E35" s="20"/>
      <c r="F35" s="20"/>
      <c r="G35" s="21">
        <f>VLOOKUP(F2,WR_Tab2,3,FALSE)</f>
        <v>16</v>
      </c>
    </row>
    <row r="36" spans="3:7" ht="14.25">
      <c r="C36" s="20" t="s">
        <v>31</v>
      </c>
      <c r="D36" s="20">
        <f>HOUR(Std_Zusatz)</f>
        <v>3</v>
      </c>
      <c r="E36" s="20" t="s">
        <v>32</v>
      </c>
      <c r="F36" s="20"/>
      <c r="G36" s="21">
        <f>VLOOKUP(F2,WR_Tab2,5,FALSE)</f>
        <v>42</v>
      </c>
    </row>
    <row r="37" spans="3:7" ht="14.25">
      <c r="C37" s="20" t="s">
        <v>23</v>
      </c>
      <c r="D37" s="20"/>
      <c r="E37" s="20"/>
      <c r="F37" s="20"/>
      <c r="G37" s="21">
        <f>VLOOKUP(F2,WR_Tab2,6,FALSE)</f>
        <v>16</v>
      </c>
    </row>
    <row r="38" spans="3:7" ht="14.25">
      <c r="C38" s="20" t="s">
        <v>72</v>
      </c>
      <c r="D38" s="20"/>
      <c r="E38" s="20"/>
      <c r="F38" s="20"/>
      <c r="G38" s="21">
        <f>VLOOKUP(F2,WR_Tab2,7,FALSE)</f>
        <v>13.5</v>
      </c>
    </row>
    <row r="39" spans="3:7" ht="14.25">
      <c r="C39" s="20" t="s">
        <v>73</v>
      </c>
      <c r="D39" s="20"/>
      <c r="E39" s="20"/>
      <c r="F39" s="20"/>
      <c r="G39" s="21">
        <f>VLOOKUP(F2,WR_Tab2,8,FALSE)</f>
        <v>0</v>
      </c>
    </row>
    <row r="40" spans="3:7" ht="14.25">
      <c r="C40" s="20"/>
      <c r="D40" s="20"/>
      <c r="E40" s="20"/>
      <c r="F40" s="20"/>
      <c r="G40" s="21"/>
    </row>
    <row r="41" spans="3:7" ht="14.25">
      <c r="C41" s="20"/>
      <c r="D41" s="20"/>
      <c r="E41" s="20"/>
      <c r="F41" s="20"/>
      <c r="G41" s="20"/>
    </row>
    <row r="42" spans="3:7" ht="15">
      <c r="C42" s="22" t="s">
        <v>21</v>
      </c>
      <c r="D42" s="22"/>
      <c r="E42" s="22"/>
      <c r="F42" s="20"/>
      <c r="G42" s="23">
        <f>VLOOKUP(F2,WR_Tab2,9,FALSE)</f>
        <v>87.5</v>
      </c>
    </row>
    <row r="55" spans="3:8" ht="12.75">
      <c r="C55" s="8" t="s">
        <v>40</v>
      </c>
      <c r="F55" s="24"/>
      <c r="G55" s="24"/>
      <c r="H55" s="24"/>
    </row>
    <row r="56" spans="6:8" ht="12.75">
      <c r="F56" s="73" t="s">
        <v>41</v>
      </c>
      <c r="G56" s="73"/>
      <c r="H56" s="73"/>
    </row>
  </sheetData>
  <mergeCells count="3">
    <mergeCell ref="B12:H12"/>
    <mergeCell ref="F56:H56"/>
    <mergeCell ref="F2:G2"/>
  </mergeCells>
  <dataValidations count="1">
    <dataValidation type="list" allowBlank="1" showInputMessage="1" showErrorMessage="1" sqref="F2:G2">
      <formula1>WR_Liste</formula1>
    </dataValidation>
  </dataValidations>
  <printOptions/>
  <pageMargins left="0.75" right="0.75" top="0.73" bottom="1" header="0.37" footer="0.5"/>
  <pageSetup fitToHeight="1" fitToWidth="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codeName="Sheet4"/>
  <dimension ref="A1:B24"/>
  <sheetViews>
    <sheetView zoomScale="75" zoomScaleNormal="75" workbookViewId="0" topLeftCell="A18">
      <selection activeCell="A24" sqref="A24"/>
    </sheetView>
  </sheetViews>
  <sheetFormatPr defaultColWidth="9.140625" defaultRowHeight="12.75"/>
  <cols>
    <col min="1" max="1" width="105.57421875" style="46" customWidth="1"/>
    <col min="2" max="2" width="6.140625" style="44" customWidth="1"/>
    <col min="3" max="16384" width="9.140625" style="44" customWidth="1"/>
  </cols>
  <sheetData>
    <row r="1" spans="1:2" ht="12.75">
      <c r="A1" s="76" t="s">
        <v>84</v>
      </c>
      <c r="B1" s="77" t="s">
        <v>85</v>
      </c>
    </row>
    <row r="2" spans="1:2" ht="12.75">
      <c r="A2" s="76"/>
      <c r="B2" s="77"/>
    </row>
    <row r="3" spans="1:2" ht="12.75">
      <c r="A3" s="76"/>
      <c r="B3" s="77"/>
    </row>
    <row r="4" spans="1:2" ht="12.75">
      <c r="A4" s="76"/>
      <c r="B4" s="77"/>
    </row>
    <row r="5" spans="1:2" ht="12.75">
      <c r="A5" s="76"/>
      <c r="B5" s="77"/>
    </row>
    <row r="6" spans="1:2" ht="12.75">
      <c r="A6" s="76"/>
      <c r="B6" s="77"/>
    </row>
    <row r="7" spans="1:2" ht="12.75">
      <c r="A7" s="76"/>
      <c r="B7" s="77"/>
    </row>
    <row r="8" spans="1:2" ht="12.75">
      <c r="A8" s="76"/>
      <c r="B8" s="77"/>
    </row>
    <row r="9" spans="1:2" ht="12.75">
      <c r="A9" s="76"/>
      <c r="B9" s="77"/>
    </row>
    <row r="10" spans="1:2" ht="12.75">
      <c r="A10" s="76"/>
      <c r="B10" s="77"/>
    </row>
    <row r="11" spans="1:2" ht="12.75">
      <c r="A11" s="76"/>
      <c r="B11" s="77"/>
    </row>
    <row r="12" spans="1:2" ht="12.75">
      <c r="A12" s="76"/>
      <c r="B12" s="77"/>
    </row>
    <row r="13" spans="1:2" ht="12.75">
      <c r="A13" s="76"/>
      <c r="B13" s="77"/>
    </row>
    <row r="14" spans="1:2" ht="12.75">
      <c r="A14" s="76"/>
      <c r="B14" s="77"/>
    </row>
    <row r="15" spans="1:2" ht="12.75">
      <c r="A15" s="43"/>
      <c r="B15" s="77"/>
    </row>
    <row r="16" spans="1:2" ht="15.75">
      <c r="A16" s="45" t="s">
        <v>63</v>
      </c>
      <c r="B16" s="77"/>
    </row>
    <row r="17" spans="1:2" ht="324" customHeight="1">
      <c r="A17" s="46" t="s">
        <v>86</v>
      </c>
      <c r="B17" s="77"/>
    </row>
    <row r="18" spans="1:2" ht="177" customHeight="1">
      <c r="A18" s="65" t="s">
        <v>0</v>
      </c>
      <c r="B18" s="77"/>
    </row>
    <row r="19" ht="12.75">
      <c r="B19" s="77"/>
    </row>
    <row r="20" spans="1:2" ht="15.75">
      <c r="A20" s="45" t="s">
        <v>64</v>
      </c>
      <c r="B20" s="77"/>
    </row>
    <row r="21" spans="1:2" ht="409.5" customHeight="1">
      <c r="A21" s="46" t="s">
        <v>1</v>
      </c>
      <c r="B21" s="77"/>
    </row>
    <row r="22" ht="12.75">
      <c r="B22" s="77"/>
    </row>
    <row r="23" spans="1:2" ht="15.75">
      <c r="A23" s="45" t="s">
        <v>87</v>
      </c>
      <c r="B23" s="77"/>
    </row>
    <row r="24" spans="1:2" ht="76.5">
      <c r="A24" s="46" t="s">
        <v>65</v>
      </c>
      <c r="B24" s="77"/>
    </row>
  </sheetData>
  <mergeCells count="2">
    <mergeCell ref="A1:A14"/>
    <mergeCell ref="B1:B24"/>
  </mergeCells>
  <printOptions/>
  <pageMargins left="0.75" right="0.75" top="1" bottom="1" header="0.5" footer="0.5"/>
  <pageSetup horizontalDpi="600" verticalDpi="600" orientation="portrait" paperSize="9" r:id="rId1"/>
  <headerFooter alignWithMargins="0">
    <oddHeader>&amp;C&amp;"Arial,Bold"&amp;14Berechnung der Wertungsrichtervergütung</oddHeader>
    <oddFooter>&amp;RSeite &amp;P von &amp;N</oddFooter>
  </headerFooter>
  <rowBreaks count="1" manualBreakCount="1">
    <brk id="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ZWE des HTV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Turnierabrechnung</dc:title>
  <dc:subject>Wertungsrichtervergütung</dc:subject>
  <dc:creator>Thomas Liesem</dc:creator>
  <cp:keywords/>
  <dc:description>Version 1.1
9 WR und Integration der Dokumentation</dc:description>
  <cp:lastModifiedBy>Thomas Liesem</cp:lastModifiedBy>
  <cp:lastPrinted>2006-09-19T21:33:15Z</cp:lastPrinted>
  <dcterms:created xsi:type="dcterms:W3CDTF">2006-06-24T16:16:21Z</dcterms:created>
  <dcterms:modified xsi:type="dcterms:W3CDTF">2006-10-09T19:04:46Z</dcterms:modified>
  <cp:category/>
  <cp:version/>
  <cp:contentType/>
  <cp:contentStatus/>
</cp:coreProperties>
</file>